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https://k3ventures.sharepoint.com/FLR Surface Files/K3 Ventures LLC/Consulting Projects/Central Stockyards/Operations/Fed Cattle Exchange/Auctions - FCE/2023 - FCE Auctions/April 2023/"/>
    </mc:Choice>
  </mc:AlternateContent>
  <xr:revisionPtr revIDLastSave="8" documentId="8_{87E71D4E-9957-43EB-8AC8-A2A6123074FF}" xr6:coauthVersionLast="47" xr6:coauthVersionMax="47" xr10:uidLastSave="{68B4D540-AEEF-4589-9EB7-E047B36E6BD8}"/>
  <bookViews>
    <workbookView xWindow="-96" yWindow="-96" windowWidth="20928" windowHeight="12552" tabRatio="797" activeTab="1" xr2:uid="{00000000-000D-0000-FFFF-FFFF00000000}"/>
  </bookViews>
  <sheets>
    <sheet name="Estimated Settlement Sheet" sheetId="12" r:id="rId1"/>
    <sheet name="Premiums - Discounts Sheet" sheetId="11" r:id="rId2"/>
    <sheet name="price" sheetId="5" state="very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1" l="1"/>
  <c r="D23" i="12"/>
  <c r="G22" i="12"/>
  <c r="G21" i="12"/>
  <c r="G20" i="12"/>
  <c r="G18" i="12"/>
  <c r="G19" i="12"/>
  <c r="G15" i="12"/>
  <c r="G16" i="12"/>
  <c r="G27" i="12"/>
  <c r="G28" i="12"/>
  <c r="G29" i="12"/>
  <c r="G30" i="12"/>
  <c r="D42" i="12"/>
  <c r="D32" i="12"/>
  <c r="G40" i="12"/>
  <c r="G39" i="12"/>
  <c r="G38" i="12"/>
  <c r="G37" i="12"/>
  <c r="G36" i="12"/>
  <c r="G31" i="12"/>
  <c r="G41" i="12"/>
  <c r="G17" i="12"/>
  <c r="B11" i="12"/>
  <c r="B3" i="12"/>
  <c r="E2" i="12" s="1"/>
  <c r="B21" i="12"/>
  <c r="B22" i="12"/>
  <c r="B38" i="12"/>
  <c r="B29" i="12"/>
  <c r="B20" i="12"/>
  <c r="B31" i="12"/>
  <c r="B39" i="12"/>
  <c r="B19" i="12"/>
  <c r="B28" i="12"/>
  <c r="B40" i="12"/>
  <c r="B16" i="12"/>
  <c r="B37" i="12"/>
  <c r="B36" i="12"/>
  <c r="B27" i="12"/>
  <c r="B41" i="12"/>
  <c r="B15" i="12"/>
  <c r="B18" i="12"/>
  <c r="B30" i="12"/>
  <c r="B17" i="12"/>
  <c r="F8" i="12"/>
  <c r="G11" i="12" s="1"/>
  <c r="E3" i="12" l="1"/>
  <c r="C11" i="12"/>
  <c r="B2" i="12"/>
  <c r="F22" i="12" l="1"/>
  <c r="H22" i="12" s="1"/>
  <c r="C41" i="12"/>
  <c r="F27" i="12"/>
  <c r="H27" i="12" s="1"/>
  <c r="C39" i="12"/>
  <c r="C19" i="12"/>
  <c r="F37" i="12"/>
  <c r="H37" i="12" s="1"/>
  <c r="F36" i="12"/>
  <c r="H36" i="12" s="1"/>
  <c r="F28" i="12"/>
  <c r="H28" i="12" s="1"/>
  <c r="C29" i="12"/>
  <c r="D11" i="12"/>
  <c r="F11" i="12"/>
  <c r="H11" i="12" s="1"/>
  <c r="C22" i="12"/>
  <c r="C30" i="12"/>
  <c r="F38" i="12"/>
  <c r="H38" i="12" s="1"/>
  <c r="F19" i="12"/>
  <c r="H19" i="12" s="1"/>
  <c r="C20" i="12"/>
  <c r="C15" i="12"/>
  <c r="C38" i="12"/>
  <c r="F40" i="12"/>
  <c r="H40" i="12" s="1"/>
  <c r="F18" i="12"/>
  <c r="H18" i="12" s="1"/>
  <c r="C17" i="12"/>
  <c r="F15" i="12"/>
  <c r="H15" i="12" s="1"/>
  <c r="F17" i="12"/>
  <c r="H17" i="12" s="1"/>
  <c r="F31" i="12"/>
  <c r="H31" i="12" s="1"/>
  <c r="C31" i="12"/>
  <c r="F21" i="12"/>
  <c r="H21" i="12" s="1"/>
  <c r="C36" i="12"/>
  <c r="F20" i="12"/>
  <c r="H20" i="12" s="1"/>
  <c r="C16" i="12"/>
  <c r="C37" i="12"/>
  <c r="C21" i="12"/>
  <c r="F29" i="12"/>
  <c r="H29" i="12" s="1"/>
  <c r="C28" i="12"/>
  <c r="F16" i="12"/>
  <c r="H16" i="12" s="1"/>
  <c r="F30" i="12"/>
  <c r="H30" i="12" s="1"/>
  <c r="C27" i="12"/>
  <c r="C18" i="12"/>
  <c r="F41" i="12"/>
  <c r="H41" i="12" s="1"/>
  <c r="F39" i="12"/>
  <c r="H39" i="12" s="1"/>
  <c r="C40" i="12"/>
  <c r="H42" i="12" l="1"/>
  <c r="H32" i="12"/>
  <c r="H23" i="12"/>
  <c r="H44" i="12" l="1"/>
  <c r="H46" i="12" s="1"/>
  <c r="G4" i="12" s="1"/>
  <c r="G5" i="12" s="1"/>
  <c r="E4" i="12" l="1"/>
  <c r="E5" i="12" s="1"/>
</calcChain>
</file>

<file path=xl/sharedStrings.xml><?xml version="1.0" encoding="utf-8"?>
<sst xmlns="http://schemas.openxmlformats.org/spreadsheetml/2006/main" count="108" uniqueCount="81">
  <si>
    <t>Quality Grade</t>
  </si>
  <si>
    <t>Adjustment</t>
  </si>
  <si>
    <t>Yield Grade</t>
  </si>
  <si>
    <t>CHOICE</t>
  </si>
  <si>
    <t>SELECT</t>
  </si>
  <si>
    <t>(WTD AVERAGE)</t>
  </si>
  <si>
    <t>PRIME</t>
  </si>
  <si>
    <t>STANDARD</t>
  </si>
  <si>
    <t>Y1</t>
  </si>
  <si>
    <t>Y2</t>
  </si>
  <si>
    <t>Y3</t>
  </si>
  <si>
    <t>Y4</t>
  </si>
  <si>
    <t>Y5</t>
  </si>
  <si>
    <t>https://www.ams.usda.gov/mnreports/lm_ct169.txt</t>
  </si>
  <si>
    <t>CAB</t>
  </si>
  <si>
    <t>Bullock/Stag</t>
  </si>
  <si>
    <t xml:space="preserve">Hardbone </t>
  </si>
  <si>
    <t>Dark Cutter</t>
  </si>
  <si>
    <t xml:space="preserve">Over 30 Months of Age </t>
  </si>
  <si>
    <t xml:space="preserve">400-500 lbs </t>
  </si>
  <si>
    <t>500-550 lbs</t>
  </si>
  <si>
    <t>550-600 lbs</t>
  </si>
  <si>
    <t>600-900 lbs</t>
  </si>
  <si>
    <t>900-1000 lbs</t>
  </si>
  <si>
    <t>1000-1050 lbs</t>
  </si>
  <si>
    <t xml:space="preserve">over 1050 lbs </t>
  </si>
  <si>
    <t>Prime</t>
  </si>
  <si>
    <t>Choice</t>
  </si>
  <si>
    <t>Select</t>
  </si>
  <si>
    <t>Pricing and Adjustment Calculation Factors</t>
  </si>
  <si>
    <t>Report Date:</t>
  </si>
  <si>
    <t>Plant Hot Yield</t>
  </si>
  <si>
    <t>Description</t>
  </si>
  <si>
    <t>Head</t>
  </si>
  <si>
    <t>Weight</t>
  </si>
  <si>
    <t>% Weight</t>
  </si>
  <si>
    <t>Spec %</t>
  </si>
  <si>
    <t>Pay Weight</t>
  </si>
  <si>
    <t>$/CWT</t>
  </si>
  <si>
    <t>Dollars</t>
  </si>
  <si>
    <t>Base</t>
  </si>
  <si>
    <t>Gross Weight</t>
  </si>
  <si>
    <t>Net Live Weight</t>
  </si>
  <si>
    <t>Average Live Weight</t>
  </si>
  <si>
    <t>Listing Hot Yield</t>
  </si>
  <si>
    <t>Dressed Weight</t>
  </si>
  <si>
    <t>Live Net $/CWT</t>
  </si>
  <si>
    <t>Head Count</t>
  </si>
  <si>
    <t>Avg Dressed Weight</t>
  </si>
  <si>
    <t>Standard</t>
  </si>
  <si>
    <t>All Natural</t>
  </si>
  <si>
    <t>NHTC</t>
  </si>
  <si>
    <t>Dairy - Type</t>
  </si>
  <si>
    <t>Over 30 Months</t>
  </si>
  <si>
    <t>Yield Grade 1</t>
  </si>
  <si>
    <t>Yield Grade 2</t>
  </si>
  <si>
    <t>Yield Grade 3</t>
  </si>
  <si>
    <t>Yield Grade 4</t>
  </si>
  <si>
    <t>Yield Grade 5</t>
  </si>
  <si>
    <t>Total Quality Grade</t>
  </si>
  <si>
    <t>Total Yield Grade</t>
  </si>
  <si>
    <t>400-500 pounds</t>
  </si>
  <si>
    <t>&gt;1050 pounds</t>
  </si>
  <si>
    <t>500-550 pounds</t>
  </si>
  <si>
    <t>550 - 600 pounds</t>
  </si>
  <si>
    <t>Weight &amp; OTM</t>
  </si>
  <si>
    <t>Total Weight &amp; OTM</t>
  </si>
  <si>
    <t>Total Prems / Discs</t>
  </si>
  <si>
    <t>Total Dollars</t>
  </si>
  <si>
    <t>Neg Base Price</t>
  </si>
  <si>
    <t>Drsd Base Price</t>
  </si>
  <si>
    <t>*Sub-Standard factor shall equal -25% of the Negotiated Base Price.</t>
  </si>
  <si>
    <t>Drsd Net $/CWT</t>
  </si>
  <si>
    <t>Live Adv/Disc</t>
  </si>
  <si>
    <t>Drsd Adv/Disc</t>
  </si>
  <si>
    <t>XB459 (usda.gov)</t>
  </si>
  <si>
    <t>Prems/Discs</t>
  </si>
  <si>
    <t>Choice Select Spread</t>
  </si>
  <si>
    <t>Hard Bone</t>
  </si>
  <si>
    <t>Other</t>
  </si>
  <si>
    <t>600-1,049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</si>
</sst>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  <numFmt numFmtId="166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2" fillId="6" borderId="0" applyNumberFormat="0" applyBorder="0" applyAlignment="0" applyProtection="0"/>
  </cellStyleXfs>
  <cellXfs count="59">
    <xf numFmtId="0" fontId="0" fillId="0" borderId="0" xfId="0"/>
    <xf numFmtId="0" fontId="7" fillId="0" borderId="0" xfId="0" applyFont="1"/>
    <xf numFmtId="0" fontId="6" fillId="0" borderId="0" xfId="0" applyFont="1"/>
    <xf numFmtId="39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right"/>
    </xf>
    <xf numFmtId="8" fontId="0" fillId="0" borderId="0" xfId="0" applyNumberFormat="1" applyAlignment="1">
      <alignment horizontal="center"/>
    </xf>
    <xf numFmtId="8" fontId="0" fillId="0" borderId="4" xfId="0" applyNumberFormat="1" applyBorder="1" applyAlignment="1">
      <alignment horizontal="center"/>
    </xf>
    <xf numFmtId="8" fontId="7" fillId="3" borderId="0" xfId="1" applyNumberFormat="1" applyFont="1" applyFill="1" applyBorder="1" applyAlignment="1">
      <alignment horizontal="center"/>
    </xf>
    <xf numFmtId="8" fontId="7" fillId="3" borderId="0" xfId="0" applyNumberFormat="1" applyFont="1" applyFill="1" applyAlignment="1">
      <alignment horizontal="center"/>
    </xf>
    <xf numFmtId="8" fontId="4" fillId="0" borderId="0" xfId="0" applyNumberFormat="1" applyFont="1" applyAlignment="1">
      <alignment horizontal="center"/>
    </xf>
    <xf numFmtId="165" fontId="12" fillId="0" borderId="0" xfId="0" applyNumberFormat="1" applyFont="1"/>
    <xf numFmtId="165" fontId="0" fillId="3" borderId="0" xfId="0" applyNumberFormat="1" applyFill="1" applyAlignment="1">
      <alignment horizontal="center"/>
    </xf>
    <xf numFmtId="165" fontId="9" fillId="3" borderId="0" xfId="5" applyNumberFormat="1" applyFill="1" applyAlignment="1">
      <alignment horizontal="center"/>
    </xf>
    <xf numFmtId="10" fontId="0" fillId="3" borderId="0" xfId="3" applyNumberFormat="1" applyFont="1" applyFill="1" applyAlignment="1">
      <alignment horizontal="center"/>
    </xf>
    <xf numFmtId="166" fontId="0" fillId="3" borderId="0" xfId="1" applyNumberFormat="1" applyFon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0" borderId="0" xfId="0" applyNumberFormat="1"/>
    <xf numFmtId="0" fontId="7" fillId="0" borderId="0" xfId="0" applyFont="1" applyAlignment="1">
      <alignment wrapText="1"/>
    </xf>
    <xf numFmtId="8" fontId="7" fillId="7" borderId="0" xfId="0" applyNumberFormat="1" applyFont="1" applyFill="1"/>
    <xf numFmtId="8" fontId="7" fillId="0" borderId="0" xfId="1" applyNumberFormat="1" applyFont="1" applyFill="1" applyBorder="1" applyAlignment="1">
      <alignment horizontal="center"/>
    </xf>
    <xf numFmtId="8" fontId="7" fillId="5" borderId="0" xfId="1" applyNumberFormat="1" applyFont="1" applyFill="1" applyBorder="1" applyAlignment="1">
      <alignment horizontal="center"/>
    </xf>
    <xf numFmtId="0" fontId="5" fillId="7" borderId="8" xfId="2" applyFill="1" applyBorder="1" applyAlignment="1" applyProtection="1"/>
    <xf numFmtId="0" fontId="5" fillId="5" borderId="8" xfId="2" applyFill="1" applyBorder="1" applyAlignment="1" applyProtection="1"/>
    <xf numFmtId="14" fontId="2" fillId="5" borderId="9" xfId="6" applyNumberFormat="1" applyFill="1" applyBorder="1"/>
    <xf numFmtId="0" fontId="5" fillId="0" borderId="8" xfId="2" applyBorder="1" applyAlignment="1" applyProtection="1"/>
    <xf numFmtId="0" fontId="7" fillId="0" borderId="9" xfId="0" applyFont="1" applyBorder="1"/>
    <xf numFmtId="0" fontId="7" fillId="0" borderId="8" xfId="0" applyFont="1" applyBorder="1"/>
    <xf numFmtId="0" fontId="7" fillId="0" borderId="9" xfId="0" applyFont="1" applyBorder="1" applyAlignment="1">
      <alignment wrapText="1"/>
    </xf>
    <xf numFmtId="0" fontId="8" fillId="0" borderId="10" xfId="0" applyFont="1" applyBorder="1"/>
    <xf numFmtId="164" fontId="7" fillId="0" borderId="11" xfId="1" applyNumberFormat="1" applyFont="1" applyFill="1" applyBorder="1"/>
    <xf numFmtId="0" fontId="7" fillId="0" borderId="11" xfId="0" applyFont="1" applyBorder="1"/>
    <xf numFmtId="0" fontId="7" fillId="0" borderId="12" xfId="0" applyFont="1" applyBorder="1"/>
    <xf numFmtId="14" fontId="1" fillId="6" borderId="9" xfId="6" applyNumberFormat="1" applyFont="1" applyBorder="1"/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7">
    <cellStyle name="40% - Accent3" xfId="6" builtinId="39"/>
    <cellStyle name="Comma" xfId="1" builtinId="3"/>
    <cellStyle name="Good" xfId="5" builtinId="26"/>
    <cellStyle name="Hyperlink" xfId="2" builtinId="8"/>
    <cellStyle name="Normal" xfId="0" builtinId="0"/>
    <cellStyle name="Normal 2" xfId="4" xr:uid="{0249E369-AA47-42B1-A0B2-2B65A400EBC7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ms.usda.gov/mnreports/ams_2461.pdf" TargetMode="External"/><Relationship Id="rId1" Type="http://schemas.openxmlformats.org/officeDocument/2006/relationships/hyperlink" Target="https://www.ams.usda.gov/mnreports/lm_ct169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C6D1-1FF9-4258-9F74-F6635D364E62}">
  <sheetPr>
    <tabColor rgb="FF00B050"/>
    <pageSetUpPr fitToPage="1"/>
  </sheetPr>
  <dimension ref="A1:I46"/>
  <sheetViews>
    <sheetView workbookViewId="0">
      <selection activeCell="B5" sqref="B5"/>
    </sheetView>
  </sheetViews>
  <sheetFormatPr defaultRowHeight="12.3" x14ac:dyDescent="0.4"/>
  <cols>
    <col min="1" max="1" width="17.609375" bestFit="1" customWidth="1"/>
    <col min="2" max="2" width="8.88671875" bestFit="1" customWidth="1"/>
    <col min="3" max="3" width="14.44140625" bestFit="1" customWidth="1"/>
    <col min="4" max="4" width="17.5546875" bestFit="1" customWidth="1"/>
    <col min="5" max="5" width="13.88671875" bestFit="1" customWidth="1"/>
    <col min="6" max="6" width="14.609375" bestFit="1" customWidth="1"/>
    <col min="7" max="7" width="8.88671875" customWidth="1"/>
    <col min="8" max="8" width="11" bestFit="1" customWidth="1"/>
  </cols>
  <sheetData>
    <row r="1" spans="1:9" x14ac:dyDescent="0.4">
      <c r="A1" t="s">
        <v>47</v>
      </c>
      <c r="B1" s="25">
        <v>120</v>
      </c>
      <c r="D1" t="s">
        <v>44</v>
      </c>
      <c r="E1" s="26">
        <v>0.64</v>
      </c>
    </row>
    <row r="2" spans="1:9" x14ac:dyDescent="0.4">
      <c r="A2" t="s">
        <v>41</v>
      </c>
      <c r="B2" s="7">
        <f>B3/0.96</f>
        <v>175000</v>
      </c>
      <c r="D2" t="s">
        <v>45</v>
      </c>
      <c r="E2" s="7">
        <f>B3*E1</f>
        <v>107520</v>
      </c>
    </row>
    <row r="3" spans="1:9" x14ac:dyDescent="0.4">
      <c r="A3" t="s">
        <v>42</v>
      </c>
      <c r="B3" s="7">
        <f>B1*B4</f>
        <v>168000</v>
      </c>
      <c r="D3" t="s">
        <v>48</v>
      </c>
      <c r="E3" s="7">
        <f>E2/B1</f>
        <v>896</v>
      </c>
    </row>
    <row r="4" spans="1:9" x14ac:dyDescent="0.4">
      <c r="A4" t="s">
        <v>43</v>
      </c>
      <c r="B4" s="25">
        <v>1400</v>
      </c>
      <c r="D4" s="14" t="s">
        <v>46</v>
      </c>
      <c r="E4" s="21">
        <f>H46/(B3/100)</f>
        <v>137.53725490196078</v>
      </c>
      <c r="F4" s="36" t="s">
        <v>72</v>
      </c>
      <c r="G4" s="21">
        <f>H46/(E2/100)</f>
        <v>214.90196078431373</v>
      </c>
      <c r="H4" s="38"/>
      <c r="I4" s="38"/>
    </row>
    <row r="5" spans="1:9" x14ac:dyDescent="0.4">
      <c r="D5" s="14" t="s">
        <v>73</v>
      </c>
      <c r="E5" s="21">
        <f>E4-C8</f>
        <v>0.53725490196077885</v>
      </c>
      <c r="F5" s="14" t="s">
        <v>74</v>
      </c>
      <c r="G5" s="21">
        <f>G4-F8</f>
        <v>0</v>
      </c>
    </row>
    <row r="6" spans="1:9" x14ac:dyDescent="0.4">
      <c r="D6" s="14"/>
      <c r="E6" s="21"/>
      <c r="F6" s="14"/>
      <c r="G6" s="21"/>
    </row>
    <row r="7" spans="1:9" x14ac:dyDescent="0.4">
      <c r="C7" s="10" t="s">
        <v>69</v>
      </c>
      <c r="D7" s="10" t="s">
        <v>1</v>
      </c>
      <c r="E7" s="10" t="s">
        <v>31</v>
      </c>
      <c r="F7" s="10" t="s">
        <v>70</v>
      </c>
    </row>
    <row r="8" spans="1:9" ht="14.4" x14ac:dyDescent="0.55000000000000004">
      <c r="C8" s="23">
        <v>137</v>
      </c>
      <c r="D8" s="22">
        <v>0</v>
      </c>
      <c r="E8" s="24">
        <v>0.63749999999999996</v>
      </c>
      <c r="F8" s="4">
        <f>(C8+D8)/E8</f>
        <v>214.90196078431373</v>
      </c>
    </row>
    <row r="10" spans="1:9" x14ac:dyDescent="0.4">
      <c r="A10" s="13" t="s">
        <v>32</v>
      </c>
      <c r="B10" s="13" t="s">
        <v>33</v>
      </c>
      <c r="C10" s="13" t="s">
        <v>34</v>
      </c>
      <c r="D10" s="13" t="s">
        <v>35</v>
      </c>
      <c r="E10" s="13" t="s">
        <v>36</v>
      </c>
      <c r="F10" s="13" t="s">
        <v>37</v>
      </c>
      <c r="G10" s="13" t="s">
        <v>38</v>
      </c>
      <c r="H10" s="13" t="s">
        <v>39</v>
      </c>
    </row>
    <row r="11" spans="1:9" x14ac:dyDescent="0.4">
      <c r="A11" s="6" t="s">
        <v>40</v>
      </c>
      <c r="B11" s="8">
        <f>B1</f>
        <v>120</v>
      </c>
      <c r="C11" s="8">
        <f>E2</f>
        <v>107520</v>
      </c>
      <c r="D11" s="5">
        <f>C11/E2</f>
        <v>1</v>
      </c>
      <c r="E11" s="5">
        <v>0</v>
      </c>
      <c r="F11" s="8">
        <f>C11*D11</f>
        <v>107520</v>
      </c>
      <c r="G11" s="4">
        <f>F8</f>
        <v>214.90196078431373</v>
      </c>
      <c r="H11" s="37">
        <f>(F11/100)*G11</f>
        <v>231062.58823529413</v>
      </c>
    </row>
    <row r="13" spans="1:9" x14ac:dyDescent="0.4">
      <c r="A13" s="55" t="s">
        <v>0</v>
      </c>
      <c r="B13" s="55"/>
      <c r="C13" s="55"/>
      <c r="D13" s="55"/>
      <c r="E13" s="55"/>
      <c r="F13" s="55"/>
      <c r="G13" s="55"/>
      <c r="H13" s="55"/>
    </row>
    <row r="14" spans="1:9" x14ac:dyDescent="0.4">
      <c r="A14" s="13" t="s">
        <v>32</v>
      </c>
      <c r="B14" s="13" t="s">
        <v>33</v>
      </c>
      <c r="C14" s="13" t="s">
        <v>34</v>
      </c>
      <c r="D14" s="13" t="s">
        <v>35</v>
      </c>
      <c r="E14" s="13" t="s">
        <v>36</v>
      </c>
      <c r="F14" s="13" t="s">
        <v>37</v>
      </c>
      <c r="G14" s="13" t="s">
        <v>38</v>
      </c>
      <c r="H14" s="13" t="s">
        <v>39</v>
      </c>
    </row>
    <row r="15" spans="1:9" x14ac:dyDescent="0.4">
      <c r="A15" s="9" t="s">
        <v>26</v>
      </c>
      <c r="B15" s="8">
        <f t="shared" ref="B15:B20" si="0">$B$11*D15</f>
        <v>0</v>
      </c>
      <c r="C15" s="8">
        <f t="shared" ref="C15:C20" si="1">$C$11*D15</f>
        <v>0</v>
      </c>
      <c r="D15" s="27">
        <v>0</v>
      </c>
      <c r="E15" s="12">
        <v>0</v>
      </c>
      <c r="F15" s="8">
        <f>(D15-E15)*$C$11</f>
        <v>0</v>
      </c>
      <c r="G15" s="16">
        <f>'Premiums - Discounts Sheet'!B7</f>
        <v>19.440000000000001</v>
      </c>
      <c r="H15" s="16">
        <f>F15/100*G15</f>
        <v>0</v>
      </c>
    </row>
    <row r="16" spans="1:9" x14ac:dyDescent="0.4">
      <c r="A16" s="9" t="s">
        <v>14</v>
      </c>
      <c r="B16" s="8">
        <f t="shared" si="0"/>
        <v>0</v>
      </c>
      <c r="C16" s="8">
        <f t="shared" si="1"/>
        <v>0</v>
      </c>
      <c r="D16" s="27">
        <v>0</v>
      </c>
      <c r="E16" s="12">
        <v>0</v>
      </c>
      <c r="F16" s="8">
        <f>(D16-E16)*$C$11</f>
        <v>0</v>
      </c>
      <c r="G16" s="16">
        <f>'Premiums - Discounts Sheet'!B11</f>
        <v>4.6399999999999997</v>
      </c>
      <c r="H16" s="16">
        <f t="shared" ref="H16:H22" si="2">F16/100*G16</f>
        <v>0</v>
      </c>
    </row>
    <row r="17" spans="1:8" x14ac:dyDescent="0.4">
      <c r="A17" s="9" t="s">
        <v>27</v>
      </c>
      <c r="B17" s="8">
        <f t="shared" si="0"/>
        <v>84</v>
      </c>
      <c r="C17" s="8">
        <f t="shared" si="1"/>
        <v>75264</v>
      </c>
      <c r="D17" s="24">
        <v>0.7</v>
      </c>
      <c r="E17" s="12">
        <v>0.7</v>
      </c>
      <c r="F17" s="8">
        <f>(D17-E17)*$C$11</f>
        <v>0</v>
      </c>
      <c r="G17" s="16">
        <f>'Premiums - Discounts Sheet'!B8</f>
        <v>0</v>
      </c>
      <c r="H17" s="16">
        <f t="shared" si="2"/>
        <v>0</v>
      </c>
    </row>
    <row r="18" spans="1:8" x14ac:dyDescent="0.4">
      <c r="A18" s="9" t="s">
        <v>28</v>
      </c>
      <c r="B18" s="8">
        <f t="shared" si="0"/>
        <v>36</v>
      </c>
      <c r="C18" s="8">
        <f t="shared" si="1"/>
        <v>32256</v>
      </c>
      <c r="D18" s="24">
        <v>0.3</v>
      </c>
      <c r="E18" s="12">
        <v>0.3</v>
      </c>
      <c r="F18" s="8">
        <f>(D18-E18)*$C$11</f>
        <v>0</v>
      </c>
      <c r="G18" s="16">
        <f>'Premiums - Discounts Sheet'!B9</f>
        <v>-16.72</v>
      </c>
      <c r="H18" s="16">
        <f t="shared" si="2"/>
        <v>0</v>
      </c>
    </row>
    <row r="19" spans="1:8" x14ac:dyDescent="0.4">
      <c r="A19" s="9" t="s">
        <v>49</v>
      </c>
      <c r="B19" s="8">
        <f t="shared" si="0"/>
        <v>0</v>
      </c>
      <c r="C19" s="8">
        <f t="shared" si="1"/>
        <v>0</v>
      </c>
      <c r="D19" s="27">
        <v>0</v>
      </c>
      <c r="E19" s="12">
        <v>0</v>
      </c>
      <c r="F19" s="8">
        <f t="shared" ref="F19:F22" si="3">(D19-E19)*$C$11</f>
        <v>0</v>
      </c>
      <c r="G19" s="16">
        <f>'Premiums - Discounts Sheet'!B10</f>
        <v>-29.91</v>
      </c>
      <c r="H19" s="16">
        <f t="shared" si="2"/>
        <v>0</v>
      </c>
    </row>
    <row r="20" spans="1:8" x14ac:dyDescent="0.4">
      <c r="A20" s="9" t="s">
        <v>78</v>
      </c>
      <c r="B20" s="8">
        <f t="shared" si="0"/>
        <v>0</v>
      </c>
      <c r="C20" s="8">
        <f t="shared" si="1"/>
        <v>0</v>
      </c>
      <c r="D20" s="27">
        <v>0</v>
      </c>
      <c r="E20" s="12">
        <v>0</v>
      </c>
      <c r="F20" s="8">
        <f t="shared" si="3"/>
        <v>0</v>
      </c>
      <c r="G20" s="16">
        <f>'Premiums - Discounts Sheet'!B16</f>
        <v>-34.590000000000003</v>
      </c>
      <c r="H20" s="16">
        <f t="shared" si="2"/>
        <v>0</v>
      </c>
    </row>
    <row r="21" spans="1:8" x14ac:dyDescent="0.4">
      <c r="A21" s="9" t="s">
        <v>17</v>
      </c>
      <c r="B21" s="8">
        <f t="shared" ref="B21:B22" si="4">$B$11*D21</f>
        <v>0</v>
      </c>
      <c r="C21" s="8">
        <f t="shared" ref="C21:C22" si="5">$C$11*D21</f>
        <v>0</v>
      </c>
      <c r="D21" s="27">
        <v>0</v>
      </c>
      <c r="E21" s="12">
        <v>0</v>
      </c>
      <c r="F21" s="8">
        <f t="shared" si="3"/>
        <v>0</v>
      </c>
      <c r="G21" s="16">
        <f>'Premiums - Discounts Sheet'!B17</f>
        <v>-36.85</v>
      </c>
      <c r="H21" s="16">
        <f t="shared" si="2"/>
        <v>0</v>
      </c>
    </row>
    <row r="22" spans="1:8" ht="12.6" thickBot="1" x14ac:dyDescent="0.45">
      <c r="A22" s="9" t="s">
        <v>79</v>
      </c>
      <c r="B22" s="8">
        <f t="shared" si="4"/>
        <v>0</v>
      </c>
      <c r="C22" s="8">
        <f t="shared" si="5"/>
        <v>0</v>
      </c>
      <c r="D22" s="27">
        <v>0</v>
      </c>
      <c r="E22" s="12">
        <v>0</v>
      </c>
      <c r="F22" s="8">
        <f t="shared" si="3"/>
        <v>0</v>
      </c>
      <c r="G22" s="16">
        <f>'Premiums - Discounts Sheet'!B15</f>
        <v>-37.89</v>
      </c>
      <c r="H22" s="17">
        <f t="shared" si="2"/>
        <v>0</v>
      </c>
    </row>
    <row r="23" spans="1:8" ht="12.6" thickTop="1" x14ac:dyDescent="0.4">
      <c r="D23" s="28" t="str">
        <f>IF(SUM(D15,D17:D22)=1,"","WEIGHT MUST TOTAL 100%")</f>
        <v/>
      </c>
      <c r="E23" s="28"/>
      <c r="G23" s="15" t="s">
        <v>59</v>
      </c>
      <c r="H23" s="16">
        <f>SUM(H15:H22)</f>
        <v>0</v>
      </c>
    </row>
    <row r="24" spans="1:8" x14ac:dyDescent="0.4">
      <c r="D24" s="11"/>
    </row>
    <row r="25" spans="1:8" x14ac:dyDescent="0.4">
      <c r="A25" s="55" t="s">
        <v>2</v>
      </c>
      <c r="B25" s="55"/>
      <c r="C25" s="55"/>
      <c r="D25" s="55"/>
      <c r="E25" s="55"/>
      <c r="F25" s="55"/>
      <c r="G25" s="55"/>
      <c r="H25" s="55"/>
    </row>
    <row r="26" spans="1:8" x14ac:dyDescent="0.4">
      <c r="A26" s="13" t="s">
        <v>32</v>
      </c>
      <c r="B26" s="13" t="s">
        <v>33</v>
      </c>
      <c r="C26" s="13" t="s">
        <v>34</v>
      </c>
      <c r="D26" s="13" t="s">
        <v>35</v>
      </c>
      <c r="E26" s="13" t="s">
        <v>36</v>
      </c>
      <c r="F26" s="13" t="s">
        <v>37</v>
      </c>
      <c r="G26" s="13" t="s">
        <v>38</v>
      </c>
      <c r="H26" s="13" t="s">
        <v>39</v>
      </c>
    </row>
    <row r="27" spans="1:8" x14ac:dyDescent="0.4">
      <c r="A27" s="9" t="s">
        <v>54</v>
      </c>
      <c r="B27" s="8">
        <f t="shared" ref="B27:B28" si="6">$B$11*D27</f>
        <v>0</v>
      </c>
      <c r="C27" s="8">
        <f t="shared" ref="C27:C28" si="7">$C$11*D27</f>
        <v>0</v>
      </c>
      <c r="D27" s="27">
        <v>0</v>
      </c>
      <c r="E27" s="12">
        <v>0</v>
      </c>
      <c r="F27" s="8">
        <f t="shared" ref="F27:F31" si="8">(D27-E27)*$C$11</f>
        <v>0</v>
      </c>
      <c r="G27" s="16">
        <f>'Premiums - Discounts Sheet'!B19</f>
        <v>5.05</v>
      </c>
      <c r="H27" s="16">
        <f t="shared" ref="H27:H31" si="9">F27/100*G27</f>
        <v>0</v>
      </c>
    </row>
    <row r="28" spans="1:8" x14ac:dyDescent="0.4">
      <c r="A28" s="9" t="s">
        <v>55</v>
      </c>
      <c r="B28" s="8">
        <f t="shared" si="6"/>
        <v>0</v>
      </c>
      <c r="C28" s="8">
        <f t="shared" si="7"/>
        <v>0</v>
      </c>
      <c r="D28" s="27">
        <v>0</v>
      </c>
      <c r="E28" s="12">
        <v>0</v>
      </c>
      <c r="F28" s="8">
        <f t="shared" si="8"/>
        <v>0</v>
      </c>
      <c r="G28" s="16">
        <f>'Premiums - Discounts Sheet'!B20</f>
        <v>2.16</v>
      </c>
      <c r="H28" s="16">
        <f t="shared" si="9"/>
        <v>0</v>
      </c>
    </row>
    <row r="29" spans="1:8" x14ac:dyDescent="0.4">
      <c r="A29" s="9" t="s">
        <v>56</v>
      </c>
      <c r="B29" s="8">
        <f>$B$11*D29</f>
        <v>120</v>
      </c>
      <c r="C29" s="8">
        <f>$C$11*D29</f>
        <v>107520</v>
      </c>
      <c r="D29" s="27">
        <v>1</v>
      </c>
      <c r="E29" s="12">
        <v>1</v>
      </c>
      <c r="F29" s="8">
        <f t="shared" si="8"/>
        <v>0</v>
      </c>
      <c r="G29" s="16">
        <f>'Premiums - Discounts Sheet'!B21</f>
        <v>0</v>
      </c>
      <c r="H29" s="16">
        <f t="shared" si="9"/>
        <v>0</v>
      </c>
    </row>
    <row r="30" spans="1:8" x14ac:dyDescent="0.4">
      <c r="A30" s="9" t="s">
        <v>57</v>
      </c>
      <c r="B30" s="8">
        <f t="shared" ref="B30:B31" si="10">$B$11*D30</f>
        <v>0</v>
      </c>
      <c r="C30" s="8">
        <f t="shared" ref="C30:C31" si="11">$C$11*D30</f>
        <v>0</v>
      </c>
      <c r="D30" s="27">
        <v>0</v>
      </c>
      <c r="E30" s="12">
        <v>0</v>
      </c>
      <c r="F30" s="8">
        <f t="shared" si="8"/>
        <v>0</v>
      </c>
      <c r="G30" s="16">
        <f>'Premiums - Discounts Sheet'!B22</f>
        <v>-7.8224999999999998</v>
      </c>
      <c r="H30" s="16">
        <f t="shared" si="9"/>
        <v>0</v>
      </c>
    </row>
    <row r="31" spans="1:8" ht="12.6" thickBot="1" x14ac:dyDescent="0.45">
      <c r="A31" s="9" t="s">
        <v>58</v>
      </c>
      <c r="B31" s="8">
        <f t="shared" si="10"/>
        <v>0</v>
      </c>
      <c r="C31" s="8">
        <f t="shared" si="11"/>
        <v>0</v>
      </c>
      <c r="D31" s="27">
        <v>0</v>
      </c>
      <c r="E31" s="12">
        <v>0</v>
      </c>
      <c r="F31" s="8">
        <f t="shared" si="8"/>
        <v>0</v>
      </c>
      <c r="G31" s="16">
        <f>'Premiums - Discounts Sheet'!B23</f>
        <v>-15.35</v>
      </c>
      <c r="H31" s="17">
        <f t="shared" si="9"/>
        <v>0</v>
      </c>
    </row>
    <row r="32" spans="1:8" ht="12.6" thickTop="1" x14ac:dyDescent="0.4">
      <c r="D32" s="29" t="str">
        <f>IF(SUM(D27:D31)=1,"","WEIGHT MUST TOTAL 100%")</f>
        <v/>
      </c>
      <c r="G32" s="15" t="s">
        <v>60</v>
      </c>
      <c r="H32" s="4">
        <f>SUM(H27:H31)</f>
        <v>0</v>
      </c>
    </row>
    <row r="34" spans="1:8" x14ac:dyDescent="0.4">
      <c r="A34" s="55" t="s">
        <v>65</v>
      </c>
      <c r="B34" s="55"/>
      <c r="C34" s="55"/>
      <c r="D34" s="55"/>
      <c r="E34" s="55"/>
      <c r="F34" s="55"/>
      <c r="G34" s="55"/>
      <c r="H34" s="55"/>
    </row>
    <row r="35" spans="1:8" x14ac:dyDescent="0.4">
      <c r="A35" s="13" t="s">
        <v>32</v>
      </c>
      <c r="B35" s="13" t="s">
        <v>33</v>
      </c>
      <c r="C35" s="13" t="s">
        <v>34</v>
      </c>
      <c r="D35" s="13" t="s">
        <v>35</v>
      </c>
      <c r="E35" s="13" t="s">
        <v>36</v>
      </c>
      <c r="F35" s="13" t="s">
        <v>37</v>
      </c>
      <c r="G35" s="13" t="s">
        <v>38</v>
      </c>
      <c r="H35" s="13" t="s">
        <v>39</v>
      </c>
    </row>
    <row r="36" spans="1:8" x14ac:dyDescent="0.4">
      <c r="A36" s="9" t="s">
        <v>61</v>
      </c>
      <c r="B36" s="8">
        <f t="shared" ref="B36:B40" si="12">$B$11*D36</f>
        <v>0</v>
      </c>
      <c r="C36" s="8">
        <f t="shared" ref="C36:C40" si="13">$C$11*D36</f>
        <v>0</v>
      </c>
      <c r="D36" s="27">
        <v>0</v>
      </c>
      <c r="E36" s="12">
        <v>0</v>
      </c>
      <c r="F36" s="8">
        <f t="shared" ref="F36:F40" si="14">(D36-E36)*$C$11</f>
        <v>0</v>
      </c>
      <c r="G36" s="16">
        <f>'Premiums - Discounts Sheet'!B24</f>
        <v>-36.549999999999997</v>
      </c>
      <c r="H36" s="16">
        <f t="shared" ref="H36:H41" si="15">F36/100*G36</f>
        <v>0</v>
      </c>
    </row>
    <row r="37" spans="1:8" x14ac:dyDescent="0.4">
      <c r="A37" s="9" t="s">
        <v>63</v>
      </c>
      <c r="B37" s="8">
        <f t="shared" si="12"/>
        <v>0</v>
      </c>
      <c r="C37" s="8">
        <f t="shared" si="13"/>
        <v>0</v>
      </c>
      <c r="D37" s="27">
        <v>0</v>
      </c>
      <c r="E37" s="12">
        <v>0</v>
      </c>
      <c r="F37" s="8">
        <f t="shared" si="14"/>
        <v>0</v>
      </c>
      <c r="G37" s="16">
        <f>'Premiums - Discounts Sheet'!B25</f>
        <v>-25.13</v>
      </c>
      <c r="H37" s="16">
        <f t="shared" si="15"/>
        <v>0</v>
      </c>
    </row>
    <row r="38" spans="1:8" x14ac:dyDescent="0.4">
      <c r="A38" s="9" t="s">
        <v>64</v>
      </c>
      <c r="B38" s="8">
        <f t="shared" ref="B38" si="16">$B$11*D38</f>
        <v>0</v>
      </c>
      <c r="C38" s="8">
        <f t="shared" si="13"/>
        <v>0</v>
      </c>
      <c r="D38" s="27">
        <v>0</v>
      </c>
      <c r="E38" s="12">
        <v>0</v>
      </c>
      <c r="F38" s="8">
        <f t="shared" si="14"/>
        <v>0</v>
      </c>
      <c r="G38" s="16">
        <f>'Premiums - Discounts Sheet'!B26</f>
        <v>-3.48</v>
      </c>
      <c r="H38" s="16">
        <f t="shared" si="15"/>
        <v>0</v>
      </c>
    </row>
    <row r="39" spans="1:8" x14ac:dyDescent="0.4">
      <c r="A39" s="9" t="s">
        <v>80</v>
      </c>
      <c r="B39" s="8">
        <f t="shared" si="12"/>
        <v>120</v>
      </c>
      <c r="C39" s="8">
        <f t="shared" si="13"/>
        <v>107520</v>
      </c>
      <c r="D39" s="27">
        <v>1</v>
      </c>
      <c r="E39" s="12">
        <v>1</v>
      </c>
      <c r="F39" s="8">
        <f t="shared" si="14"/>
        <v>0</v>
      </c>
      <c r="G39" s="16">
        <f>'Premiums - Discounts Sheet'!B27</f>
        <v>0</v>
      </c>
      <c r="H39" s="16">
        <f t="shared" si="15"/>
        <v>0</v>
      </c>
    </row>
    <row r="40" spans="1:8" x14ac:dyDescent="0.4">
      <c r="A40" s="9" t="s">
        <v>62</v>
      </c>
      <c r="B40" s="8">
        <f t="shared" si="12"/>
        <v>0</v>
      </c>
      <c r="C40" s="8">
        <f t="shared" si="13"/>
        <v>0</v>
      </c>
      <c r="D40" s="27">
        <v>0</v>
      </c>
      <c r="E40" s="12">
        <v>0</v>
      </c>
      <c r="F40" s="8">
        <f t="shared" si="14"/>
        <v>0</v>
      </c>
      <c r="G40" s="20">
        <f>'Premiums - Discounts Sheet'!B30</f>
        <v>-16.670000000000002</v>
      </c>
      <c r="H40" s="16">
        <f t="shared" si="15"/>
        <v>0</v>
      </c>
    </row>
    <row r="41" spans="1:8" ht="12.6" thickBot="1" x14ac:dyDescent="0.45">
      <c r="A41" s="30" t="s">
        <v>53</v>
      </c>
      <c r="B41" s="31">
        <f>$B$11*D41</f>
        <v>0</v>
      </c>
      <c r="C41" s="31">
        <f>$C$11*D41</f>
        <v>0</v>
      </c>
      <c r="D41" s="32">
        <v>0</v>
      </c>
      <c r="E41" s="33">
        <v>0</v>
      </c>
      <c r="F41" s="31">
        <f>(D41-E41)*$C$11</f>
        <v>0</v>
      </c>
      <c r="G41" s="34">
        <f>'Premiums - Discounts Sheet'!B18</f>
        <v>-16.68</v>
      </c>
      <c r="H41" s="35">
        <f t="shared" si="15"/>
        <v>0</v>
      </c>
    </row>
    <row r="42" spans="1:8" ht="12.6" thickTop="1" x14ac:dyDescent="0.4">
      <c r="D42" s="29" t="str">
        <f>IF(SUM(D36:D40)=1,"","WEIGHT CATEGORIES MUST TOTAL 100%")</f>
        <v/>
      </c>
      <c r="G42" s="15" t="s">
        <v>66</v>
      </c>
      <c r="H42" s="16">
        <f>SUM(H36:H41)</f>
        <v>0</v>
      </c>
    </row>
    <row r="44" spans="1:8" x14ac:dyDescent="0.4">
      <c r="G44" s="15" t="s">
        <v>67</v>
      </c>
      <c r="H44" s="16">
        <f>SUM(H23,H32,H42)</f>
        <v>0</v>
      </c>
    </row>
    <row r="46" spans="1:8" x14ac:dyDescent="0.4">
      <c r="G46" s="15" t="s">
        <v>68</v>
      </c>
      <c r="H46" s="37">
        <f>SUM(H11,H44)</f>
        <v>231062.58823529413</v>
      </c>
    </row>
  </sheetData>
  <mergeCells count="3">
    <mergeCell ref="A13:H13"/>
    <mergeCell ref="A25:H25"/>
    <mergeCell ref="A34:H34"/>
  </mergeCells>
  <pageMargins left="0.7" right="0.7" top="0.75" bottom="0.75" header="0.3" footer="0.3"/>
  <pageSetup scale="86" fitToHeight="0" orientation="portrait" r:id="rId1"/>
  <ignoredErrors>
    <ignoredError sqref="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D90A-11AD-4603-B06A-6AC463B70607}">
  <sheetPr>
    <pageSetUpPr fitToPage="1"/>
  </sheetPr>
  <dimension ref="A1:E31"/>
  <sheetViews>
    <sheetView tabSelected="1" topLeftCell="A5" workbookViewId="0">
      <selection activeCell="G17" sqref="G17"/>
    </sheetView>
  </sheetViews>
  <sheetFormatPr defaultRowHeight="12.3" x14ac:dyDescent="0.4"/>
  <cols>
    <col min="1" max="1" width="60.109375" bestFit="1" customWidth="1"/>
    <col min="2" max="2" width="17" bestFit="1" customWidth="1"/>
    <col min="4" max="4" width="11" bestFit="1" customWidth="1"/>
    <col min="5" max="5" width="12.38671875" customWidth="1"/>
  </cols>
  <sheetData>
    <row r="1" spans="1:5" ht="13.2" thickBot="1" x14ac:dyDescent="0.55000000000000004">
      <c r="A1" s="56" t="s">
        <v>29</v>
      </c>
      <c r="B1" s="57"/>
      <c r="C1" s="57"/>
      <c r="D1" s="57"/>
      <c r="E1" s="58"/>
    </row>
    <row r="2" spans="1:5" ht="14.4" x14ac:dyDescent="0.55000000000000004">
      <c r="A2" s="43" t="s">
        <v>13</v>
      </c>
      <c r="B2" s="3"/>
      <c r="C2" s="1"/>
      <c r="D2" s="2" t="s">
        <v>30</v>
      </c>
      <c r="E2" s="54">
        <v>45040</v>
      </c>
    </row>
    <row r="3" spans="1:5" ht="14.4" x14ac:dyDescent="0.55000000000000004">
      <c r="A3" s="44" t="s">
        <v>75</v>
      </c>
      <c r="B3" s="3" t="s">
        <v>76</v>
      </c>
      <c r="C3" s="1"/>
      <c r="D3" s="2" t="s">
        <v>30</v>
      </c>
      <c r="E3" s="45">
        <v>45037</v>
      </c>
    </row>
    <row r="4" spans="1:5" ht="12.9" x14ac:dyDescent="0.5">
      <c r="A4" s="46"/>
      <c r="B4" s="3" t="s">
        <v>77</v>
      </c>
      <c r="C4" s="1"/>
      <c r="D4" s="1"/>
      <c r="E4" s="47"/>
    </row>
    <row r="5" spans="1:5" ht="12.9" x14ac:dyDescent="0.5">
      <c r="A5" s="46"/>
      <c r="B5" s="3"/>
      <c r="C5" s="1"/>
      <c r="D5" s="1"/>
      <c r="E5" s="47"/>
    </row>
    <row r="6" spans="1:5" ht="12.9" x14ac:dyDescent="0.5">
      <c r="A6" s="46"/>
      <c r="B6" s="3" t="s">
        <v>5</v>
      </c>
      <c r="C6" s="1"/>
      <c r="D6" s="1"/>
      <c r="E6" s="47"/>
    </row>
    <row r="7" spans="1:5" ht="12.9" x14ac:dyDescent="0.5">
      <c r="A7" s="48" t="s">
        <v>6</v>
      </c>
      <c r="B7" s="18">
        <v>19.440000000000001</v>
      </c>
      <c r="C7" s="39"/>
      <c r="D7" s="39"/>
      <c r="E7" s="49"/>
    </row>
    <row r="8" spans="1:5" ht="12.9" x14ac:dyDescent="0.5">
      <c r="A8" s="48" t="s">
        <v>3</v>
      </c>
      <c r="B8" s="41">
        <v>0</v>
      </c>
      <c r="C8" s="39"/>
      <c r="D8" s="39"/>
      <c r="E8" s="49"/>
    </row>
    <row r="9" spans="1:5" ht="12.9" x14ac:dyDescent="0.5">
      <c r="A9" s="48" t="s">
        <v>4</v>
      </c>
      <c r="B9" s="42">
        <v>-16.72</v>
      </c>
      <c r="C9" s="39"/>
      <c r="D9" s="39"/>
      <c r="E9" s="49"/>
    </row>
    <row r="10" spans="1:5" ht="12.9" x14ac:dyDescent="0.5">
      <c r="A10" s="48" t="s">
        <v>7</v>
      </c>
      <c r="B10" s="18">
        <v>-29.91</v>
      </c>
      <c r="C10" s="1"/>
      <c r="D10" s="1"/>
      <c r="E10" s="47"/>
    </row>
    <row r="11" spans="1:5" ht="12.9" x14ac:dyDescent="0.5">
      <c r="A11" s="48" t="s">
        <v>14</v>
      </c>
      <c r="B11" s="19">
        <v>4.6399999999999997</v>
      </c>
      <c r="C11" s="1"/>
      <c r="D11" s="1"/>
      <c r="E11" s="47"/>
    </row>
    <row r="12" spans="1:5" ht="12.9" x14ac:dyDescent="0.5">
      <c r="A12" s="48" t="s">
        <v>50</v>
      </c>
      <c r="B12" s="19">
        <v>31.06</v>
      </c>
      <c r="C12" s="1"/>
      <c r="D12" s="1"/>
      <c r="E12" s="47"/>
    </row>
    <row r="13" spans="1:5" ht="12.9" x14ac:dyDescent="0.5">
      <c r="A13" s="48" t="s">
        <v>51</v>
      </c>
      <c r="B13" s="19">
        <v>22.43</v>
      </c>
      <c r="C13" s="1"/>
      <c r="D13" s="1"/>
      <c r="E13" s="47"/>
    </row>
    <row r="14" spans="1:5" ht="12.9" x14ac:dyDescent="0.5">
      <c r="A14" s="48" t="s">
        <v>52</v>
      </c>
      <c r="B14" s="19">
        <v>-4.4400000000000004</v>
      </c>
      <c r="C14" s="1"/>
      <c r="D14" s="1"/>
      <c r="E14" s="47"/>
    </row>
    <row r="15" spans="1:5" ht="12.9" x14ac:dyDescent="0.5">
      <c r="A15" s="48" t="s">
        <v>15</v>
      </c>
      <c r="B15" s="19">
        <v>-37.89</v>
      </c>
      <c r="C15" s="1"/>
      <c r="D15" s="1"/>
      <c r="E15" s="47"/>
    </row>
    <row r="16" spans="1:5" ht="12.9" x14ac:dyDescent="0.5">
      <c r="A16" s="48" t="s">
        <v>16</v>
      </c>
      <c r="B16" s="19">
        <v>-34.590000000000003</v>
      </c>
      <c r="C16" s="1"/>
      <c r="D16" s="1"/>
      <c r="E16" s="47"/>
    </row>
    <row r="17" spans="1:5" ht="12.9" x14ac:dyDescent="0.5">
      <c r="A17" s="48" t="s">
        <v>17</v>
      </c>
      <c r="B17" s="19">
        <v>-36.85</v>
      </c>
      <c r="C17" s="1"/>
      <c r="D17" s="1"/>
      <c r="E17" s="47"/>
    </row>
    <row r="18" spans="1:5" ht="12.9" x14ac:dyDescent="0.5">
      <c r="A18" s="48" t="s">
        <v>18</v>
      </c>
      <c r="B18" s="19">
        <v>-16.68</v>
      </c>
      <c r="C18" s="1"/>
      <c r="D18" s="1"/>
      <c r="E18" s="47"/>
    </row>
    <row r="19" spans="1:5" ht="12.9" x14ac:dyDescent="0.5">
      <c r="A19" s="48" t="s">
        <v>8</v>
      </c>
      <c r="B19" s="18">
        <v>5.05</v>
      </c>
      <c r="C19" s="1"/>
      <c r="D19" s="1"/>
      <c r="E19" s="47"/>
    </row>
    <row r="20" spans="1:5" ht="12.9" x14ac:dyDescent="0.5">
      <c r="A20" s="48" t="s">
        <v>9</v>
      </c>
      <c r="B20" s="18">
        <v>2.16</v>
      </c>
      <c r="C20" s="1"/>
      <c r="D20" s="1"/>
      <c r="E20" s="47"/>
    </row>
    <row r="21" spans="1:5" ht="12.9" x14ac:dyDescent="0.5">
      <c r="A21" s="48" t="s">
        <v>10</v>
      </c>
      <c r="B21" s="18">
        <v>0</v>
      </c>
      <c r="C21" s="1"/>
      <c r="D21" s="1"/>
      <c r="E21" s="47"/>
    </row>
    <row r="22" spans="1:5" ht="12.9" x14ac:dyDescent="0.5">
      <c r="A22" s="48" t="s">
        <v>11</v>
      </c>
      <c r="B22" s="41">
        <f>C22*0.75</f>
        <v>-7.8224999999999998</v>
      </c>
      <c r="C22" s="40">
        <v>-10.43</v>
      </c>
      <c r="D22" s="1"/>
      <c r="E22" s="47"/>
    </row>
    <row r="23" spans="1:5" ht="12.9" x14ac:dyDescent="0.5">
      <c r="A23" s="48" t="s">
        <v>12</v>
      </c>
      <c r="B23" s="18">
        <v>-15.35</v>
      </c>
      <c r="C23" s="1"/>
      <c r="D23" s="1"/>
      <c r="E23" s="47"/>
    </row>
    <row r="24" spans="1:5" ht="12.9" x14ac:dyDescent="0.5">
      <c r="A24" s="48" t="s">
        <v>19</v>
      </c>
      <c r="B24" s="18">
        <v>-36.549999999999997</v>
      </c>
      <c r="C24" s="1"/>
      <c r="D24" s="1"/>
      <c r="E24" s="47"/>
    </row>
    <row r="25" spans="1:5" ht="12.9" x14ac:dyDescent="0.5">
      <c r="A25" s="48" t="s">
        <v>20</v>
      </c>
      <c r="B25" s="18">
        <v>-25.13</v>
      </c>
      <c r="C25" s="1"/>
      <c r="D25" s="1"/>
      <c r="E25" s="47"/>
    </row>
    <row r="26" spans="1:5" ht="12.9" x14ac:dyDescent="0.5">
      <c r="A26" s="48" t="s">
        <v>21</v>
      </c>
      <c r="B26" s="18">
        <v>-3.48</v>
      </c>
      <c r="C26" s="1"/>
      <c r="D26" s="1"/>
      <c r="E26" s="47"/>
    </row>
    <row r="27" spans="1:5" ht="12.9" x14ac:dyDescent="0.5">
      <c r="A27" s="48" t="s">
        <v>22</v>
      </c>
      <c r="B27" s="18">
        <v>0</v>
      </c>
      <c r="C27" s="1"/>
      <c r="D27" s="1"/>
      <c r="E27" s="47"/>
    </row>
    <row r="28" spans="1:5" ht="12.9" x14ac:dyDescent="0.5">
      <c r="A28" s="48" t="s">
        <v>23</v>
      </c>
      <c r="B28" s="18">
        <v>0</v>
      </c>
      <c r="C28" s="18">
        <v>-0.77</v>
      </c>
      <c r="D28" s="1"/>
      <c r="E28" s="47"/>
    </row>
    <row r="29" spans="1:5" ht="12.9" x14ac:dyDescent="0.5">
      <c r="A29" s="48" t="s">
        <v>24</v>
      </c>
      <c r="B29" s="18">
        <v>0</v>
      </c>
      <c r="C29" s="18">
        <v>-2.73</v>
      </c>
      <c r="D29" s="1"/>
      <c r="E29" s="47"/>
    </row>
    <row r="30" spans="1:5" ht="12.9" x14ac:dyDescent="0.5">
      <c r="A30" s="48" t="s">
        <v>25</v>
      </c>
      <c r="B30" s="18">
        <v>-16.670000000000002</v>
      </c>
      <c r="C30" s="1"/>
      <c r="D30" s="1"/>
      <c r="E30" s="47"/>
    </row>
    <row r="31" spans="1:5" ht="13.2" thickBot="1" x14ac:dyDescent="0.55000000000000004">
      <c r="A31" s="50" t="s">
        <v>71</v>
      </c>
      <c r="B31" s="51"/>
      <c r="C31" s="52"/>
      <c r="D31" s="52"/>
      <c r="E31" s="53"/>
    </row>
  </sheetData>
  <mergeCells count="1">
    <mergeCell ref="A1:E1"/>
  </mergeCells>
  <hyperlinks>
    <hyperlink ref="A2" r:id="rId1" xr:uid="{B35D616D-5382-4B6E-9801-81E1D019782F}"/>
    <hyperlink ref="A3" r:id="rId2" display="https://www.ams.usda.gov/mnreports/ams_2461.pdf" xr:uid="{5E556536-7675-4A77-B8A2-6115935D98F2}"/>
  </hyperlinks>
  <pageMargins left="0.7" right="0.7" top="0.75" bottom="0.75" header="0.3" footer="0.3"/>
  <pageSetup scale="84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CCA700697CA4387D89933708C9F63" ma:contentTypeVersion="17" ma:contentTypeDescription="Create a new document." ma:contentTypeScope="" ma:versionID="bd3aadec0c5a011df139dfa592136944">
  <xsd:schema xmlns:xsd="http://www.w3.org/2001/XMLSchema" xmlns:xs="http://www.w3.org/2001/XMLSchema" xmlns:p="http://schemas.microsoft.com/office/2006/metadata/properties" xmlns:ns2="2ff72c08-ff15-4986-a735-3562545990dc" xmlns:ns3="c85d856e-25c0-43fe-8142-c346360ef068" targetNamespace="http://schemas.microsoft.com/office/2006/metadata/properties" ma:root="true" ma:fieldsID="cdd9d6d25aec63ad23f4abf17ba75d2a" ns2:_="" ns3:_="">
    <xsd:import namespace="2ff72c08-ff15-4986-a735-3562545990dc"/>
    <xsd:import namespace="c85d856e-25c0-43fe-8142-c346360ef0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72c08-ff15-4986-a735-3562545990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546828-d98a-494c-ba10-152831c3390e}" ma:internalName="TaxCatchAll" ma:showField="CatchAllData" ma:web="2ff72c08-ff15-4986-a735-356254599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d856e-25c0-43fe-8142-c346360ef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983c54-3abd-4e67-bfb7-3eaf7fb30c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5d856e-25c0-43fe-8142-c346360ef068">
      <Terms xmlns="http://schemas.microsoft.com/office/infopath/2007/PartnerControls"/>
    </lcf76f155ced4ddcb4097134ff3c332f>
    <TaxCatchAll xmlns="2ff72c08-ff15-4986-a735-3562545990dc" xsi:nil="true"/>
  </documentManagement>
</p:properties>
</file>

<file path=customXml/itemProps1.xml><?xml version="1.0" encoding="utf-8"?>
<ds:datastoreItem xmlns:ds="http://schemas.openxmlformats.org/officeDocument/2006/customXml" ds:itemID="{A272B61B-19CB-4A65-B04F-FA3220C8E359}"/>
</file>

<file path=customXml/itemProps2.xml><?xml version="1.0" encoding="utf-8"?>
<ds:datastoreItem xmlns:ds="http://schemas.openxmlformats.org/officeDocument/2006/customXml" ds:itemID="{0082A8C9-0AF8-48D3-801E-7D89F63999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59505-BFED-40A2-9763-CCA1E46DD675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2b61536c-8b9c-4ac7-80ba-7946574dfed3"/>
    <ds:schemaRef ds:uri="822128a5-5d4f-409f-bd41-9f64741f8b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 Settlement Sheet</vt:lpstr>
      <vt:lpstr>Premiums - Discounts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Levi</dc:creator>
  <cp:lastModifiedBy>Forrest  Roberts</cp:lastModifiedBy>
  <cp:lastPrinted>2022-01-05T02:54:44Z</cp:lastPrinted>
  <dcterms:created xsi:type="dcterms:W3CDTF">1998-11-10T23:50:46Z</dcterms:created>
  <dcterms:modified xsi:type="dcterms:W3CDTF">2023-04-25T11:57:53Z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0x010100785CCA700697CA4387D89933708C9F63</vt:lpwstr>
  </property>
  <property fmtid="{D5CDD505-2E9C-101B-9397-08002B2CF9AE}" pid="3" name="MediaServiceImageTags">
    <vt:lpwstr/>
  </property>
</Properties>
</file>